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COSTI CONTABILIZZATI 2025\"/>
    </mc:Choice>
  </mc:AlternateContent>
  <xr:revisionPtr revIDLastSave="0" documentId="13_ncr:1_{A3B3E29B-8ADC-4405-80BA-3D5BE36A0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1" i="1" l="1"/>
  <c r="J46" i="1"/>
  <c r="J45" i="1"/>
  <c r="J36" i="1"/>
  <c r="J55" i="1" s="1"/>
  <c r="J29" i="1"/>
  <c r="J32" i="1" s="1"/>
  <c r="J27" i="1"/>
  <c r="J16" i="1"/>
  <c r="J22" i="1" s="1"/>
  <c r="J24" i="1" s="1"/>
  <c r="J9" i="1"/>
  <c r="J8" i="1"/>
  <c r="J7" i="1"/>
  <c r="J13" i="1" s="1"/>
  <c r="J57" i="1" l="1"/>
  <c r="I55" i="1"/>
  <c r="I51" i="1"/>
  <c r="I46" i="1"/>
  <c r="I45" i="1"/>
  <c r="I36" i="1"/>
  <c r="I34" i="1"/>
  <c r="I29" i="1"/>
  <c r="I28" i="1"/>
  <c r="I27" i="1"/>
  <c r="I32" i="1" s="1"/>
  <c r="I16" i="1"/>
  <c r="I22" i="1" s="1"/>
  <c r="I24" i="1" s="1"/>
  <c r="I57" i="1" s="1"/>
  <c r="I10" i="1"/>
  <c r="I9" i="1"/>
  <c r="I8" i="1"/>
  <c r="I7" i="1"/>
  <c r="I13" i="1" s="1"/>
  <c r="H51" i="1"/>
  <c r="H46" i="1"/>
  <c r="H45" i="1"/>
  <c r="H36" i="1"/>
  <c r="H55" i="1" s="1"/>
  <c r="H29" i="1"/>
  <c r="H28" i="1"/>
  <c r="H27" i="1"/>
  <c r="H32" i="1" s="1"/>
  <c r="H22" i="1"/>
  <c r="H16" i="1"/>
  <c r="H12" i="1"/>
  <c r="H11" i="1"/>
  <c r="H10" i="1"/>
  <c r="H7" i="1"/>
  <c r="H13" i="1" s="1"/>
  <c r="H24" i="1" s="1"/>
  <c r="H57" i="1" s="1"/>
  <c r="G51" i="1" l="1"/>
  <c r="G46" i="1"/>
  <c r="G45" i="1"/>
  <c r="G36" i="1"/>
  <c r="G55" i="1" s="1"/>
  <c r="G29" i="1"/>
  <c r="G28" i="1"/>
  <c r="G27" i="1"/>
  <c r="G32" i="1" s="1"/>
  <c r="G17" i="1"/>
  <c r="G16" i="1"/>
  <c r="G22" i="1" s="1"/>
  <c r="G8" i="1"/>
  <c r="G13" i="1" s="1"/>
  <c r="F51" i="1"/>
  <c r="F55" i="1" s="1"/>
  <c r="F46" i="1"/>
  <c r="F45" i="1"/>
  <c r="F36" i="1"/>
  <c r="F34" i="1"/>
  <c r="F29" i="1"/>
  <c r="F27" i="1"/>
  <c r="F32" i="1" s="1"/>
  <c r="F16" i="1"/>
  <c r="F15" i="1"/>
  <c r="F22" i="1" s="1"/>
  <c r="F24" i="1" s="1"/>
  <c r="F57" i="1" s="1"/>
  <c r="F11" i="1"/>
  <c r="F8" i="1"/>
  <c r="F7" i="1"/>
  <c r="F13" i="1" s="1"/>
  <c r="E51" i="1"/>
  <c r="E46" i="1"/>
  <c r="E45" i="1"/>
  <c r="E36" i="1"/>
  <c r="E34" i="1"/>
  <c r="E55" i="1" s="1"/>
  <c r="E29" i="1"/>
  <c r="E28" i="1"/>
  <c r="E27" i="1"/>
  <c r="E32" i="1" s="1"/>
  <c r="E16" i="1"/>
  <c r="E22" i="1" s="1"/>
  <c r="E24" i="1" s="1"/>
  <c r="E12" i="1"/>
  <c r="E9" i="1"/>
  <c r="E8" i="1"/>
  <c r="E7" i="1"/>
  <c r="E13" i="1" s="1"/>
  <c r="D55" i="1"/>
  <c r="D51" i="1"/>
  <c r="D46" i="1"/>
  <c r="D45" i="1"/>
  <c r="D36" i="1"/>
  <c r="D29" i="1"/>
  <c r="D32" i="1" s="1"/>
  <c r="D22" i="1"/>
  <c r="D8" i="1"/>
  <c r="D13" i="1" s="1"/>
  <c r="G24" i="1" l="1"/>
  <c r="G57" i="1" s="1"/>
  <c r="E57" i="1"/>
  <c r="D24" i="1"/>
  <c r="D57" i="1" s="1"/>
  <c r="C55" i="1"/>
  <c r="C51" i="1"/>
  <c r="C46" i="1"/>
  <c r="C45" i="1"/>
  <c r="C37" i="1"/>
  <c r="C36" i="1"/>
  <c r="C32" i="1"/>
  <c r="C27" i="1"/>
  <c r="C22" i="1"/>
  <c r="C13" i="1"/>
  <c r="C24" i="1" s="1"/>
  <c r="C57" i="1" s="1"/>
  <c r="B51" i="1" l="1"/>
  <c r="B46" i="1"/>
  <c r="B55" i="1" s="1"/>
  <c r="B29" i="1"/>
  <c r="B32" i="1" s="1"/>
  <c r="B22" i="1"/>
  <c r="B24" i="1" s="1"/>
  <c r="B13" i="1"/>
  <c r="B57" i="1" l="1"/>
</calcChain>
</file>

<file path=xl/sharedStrings.xml><?xml version="1.0" encoding="utf-8"?>
<sst xmlns="http://schemas.openxmlformats.org/spreadsheetml/2006/main" count="75" uniqueCount="57">
  <si>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</si>
  <si>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</si>
  <si>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</si>
  <si>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</si>
  <si>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</si>
  <si>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</si>
  <si>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</si>
  <si>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</si>
  <si>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</si>
  <si>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</si>
  <si>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</si>
  <si>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</si>
  <si>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</si>
  <si>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</si>
  <si>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</si>
  <si>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</si>
  <si>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</si>
  <si>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</si>
  <si>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</si>
  <si>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</si>
  <si>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</si>
  <si>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</si>
  <si>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</si>
  <si>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</si>
  <si>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</si>
  <si>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</si>
  <si>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</si>
  <si>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</si>
  <si>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</si>
  <si>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</si>
  <si>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</si>
  <si>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</si>
  <si>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</si>
  <si>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</si>
  <si>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</si>
  <si>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</si>
  <si>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</si>
  <si>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</si>
  <si>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</si>
  <si>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</si>
  <si>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</si>
  <si>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</si>
  <si>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</si>
  <si>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</si>
  <si>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</si>
  <si>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</si>
  <si>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</si>
  <si>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</t>
  </si>
  <si>
    <t>CSS I GIRASOLI TRIUGGIO</t>
  </si>
  <si>
    <t>CSS ANNINA VIGEVANO</t>
  </si>
  <si>
    <t>CDD ARCOMADIA VIGEVANO</t>
  </si>
  <si>
    <t>RSA ANNI VERDI BIASSONO</t>
  </si>
  <si>
    <t>RSA GIOVANNI XXIII MERONE</t>
  </si>
  <si>
    <t>RSA I GELSI LAZZATE</t>
  </si>
  <si>
    <t>RSA MORANDO OSTIGLIA</t>
  </si>
  <si>
    <t>RSA SAN MARCO MARCALLO</t>
  </si>
  <si>
    <t>RSA SANTA SARA MILANO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</si>
</sst>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57"/>
  <sheetViews>
    <sheetView tabSelected="1" view="pageLayout" topLeftCell="A4" zoomScaleNormal="100" workbookViewId="0">
      <selection activeCell="J57" sqref="A3:J57"/>
    </sheetView>
  </sheetViews>
  <sheetFormatPr defaultColWidth="8.85546875" defaultRowHeight="14.25"/>
  <cols>
    <col min="1" max="1" width="55.5703125" style="1" bestFit="1" customWidth="1"/>
    <col min="2" max="2" width="13" style="1" bestFit="1" customWidth="1"/>
    <col min="3" max="4" width="11.5703125" style="1" bestFit="1" customWidth="1"/>
    <col min="5" max="10" width="13.28515625" style="1" bestFit="1" customWidth="1"/>
    <col min="11" max="16384" width="8.85546875" style="1"/>
  </cols>
  <sheetData>
    <row r="3" spans="1:10" ht="15">
      <c r="A3" s="19" t="s">
        <v>47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">
      <c r="A4"/>
      <c r="B4"/>
    </row>
    <row r="5" spans="1:10" ht="60">
      <c r="A5"/>
      <c r="B5" s="3" t="s">
        <v>50</v>
      </c>
      <c r="C5" s="3" t="s">
        <v>49</v>
      </c>
      <c r="D5" s="3" t="s">
        <v>48</v>
      </c>
      <c r="E5" s="3" t="s">
        <v>51</v>
      </c>
      <c r="F5" s="3" t="s">
        <v>52</v>
      </c>
      <c r="G5" s="3" t="s">
        <v>53</v>
      </c>
      <c r="H5" s="3" t="s">
        <v>54</v>
      </c>
      <c r="I5" s="3" t="s">
        <v>55</v>
      </c>
      <c r="J5" s="3" t="s">
        <v>56</v>
      </c>
    </row>
    <row r="6" spans="1:10" ht="15">
      <c r="A6" s="2" t="s">
        <v>0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</row>
    <row r="7" spans="1:10" ht="15">
      <c r="A7" s="4" t="s">
        <v>2</v>
      </c>
      <c r="B7" s="5">
        <v>1082</v>
      </c>
      <c r="C7" s="5">
        <v>942</v>
      </c>
      <c r="D7" s="5">
        <v>1682</v>
      </c>
      <c r="E7" s="5">
        <f>76648.5+3672.5</f>
        <v>80321</v>
      </c>
      <c r="F7" s="5">
        <f>6242+17784+54067.5+9596+632+1054</f>
        <v>89375.5</v>
      </c>
      <c r="G7" s="5">
        <v>77407.09</v>
      </c>
      <c r="H7" s="5">
        <f>24480+41181.26</f>
        <v>65661.260000000009</v>
      </c>
      <c r="I7" s="5">
        <f>120097.25+800+800</f>
        <v>121697.25</v>
      </c>
      <c r="J7" s="5">
        <f>101974.22-9410-360</f>
        <v>92204.22</v>
      </c>
    </row>
    <row r="8" spans="1:10" ht="15">
      <c r="A8" s="4" t="s">
        <v>3</v>
      </c>
      <c r="B8" s="5">
        <v>7438.1</v>
      </c>
      <c r="C8" s="5">
        <v>2215.1999999999998</v>
      </c>
      <c r="D8" s="5">
        <f>19112+8582.49</f>
        <v>27694.489999999998</v>
      </c>
      <c r="E8" s="5">
        <f>84313.22+135087.3-794.66</f>
        <v>218605.86</v>
      </c>
      <c r="F8" s="5">
        <f>274390.2-4067.85</f>
        <v>270322.35000000003</v>
      </c>
      <c r="G8" s="5">
        <f>246489.1+31619.7-41337</f>
        <v>236771.8</v>
      </c>
      <c r="H8" s="5">
        <v>312636.37</v>
      </c>
      <c r="I8" s="5">
        <f>277664.61+5306.08</f>
        <v>282970.69</v>
      </c>
      <c r="J8" s="5">
        <f>295967.5+5068</f>
        <v>301035.5</v>
      </c>
    </row>
    <row r="9" spans="1:10" ht="15">
      <c r="A9" s="6" t="s">
        <v>4</v>
      </c>
      <c r="B9" s="5">
        <v>57724.95</v>
      </c>
      <c r="C9" s="5">
        <v>208965.86</v>
      </c>
      <c r="D9" s="5">
        <v>169244.31</v>
      </c>
      <c r="E9" s="5">
        <f>817408.38-448-38734.7</f>
        <v>778225.68</v>
      </c>
      <c r="F9" s="5">
        <v>724618.74</v>
      </c>
      <c r="G9" s="5">
        <v>629210.28</v>
      </c>
      <c r="H9" s="5">
        <v>1142146.21</v>
      </c>
      <c r="I9" s="5">
        <f>714532.27-8588.97</f>
        <v>705943.3</v>
      </c>
      <c r="J9" s="5">
        <f>856429.6+2098.2</f>
        <v>858527.79999999993</v>
      </c>
    </row>
    <row r="10" spans="1:10" ht="15">
      <c r="A10" s="4" t="s">
        <v>5</v>
      </c>
      <c r="B10" s="5">
        <v>3729</v>
      </c>
      <c r="C10" s="5">
        <v>10736.39</v>
      </c>
      <c r="D10" s="5"/>
      <c r="E10" s="5">
        <v>29048.12</v>
      </c>
      <c r="F10" s="5">
        <v>24945.94</v>
      </c>
      <c r="G10" s="5">
        <v>27989.91</v>
      </c>
      <c r="H10" s="5">
        <f>3556.33+8116.68</f>
        <v>11673.01</v>
      </c>
      <c r="I10" s="5">
        <f>7102.5+10045</f>
        <v>17147.5</v>
      </c>
      <c r="J10" s="5">
        <v>29981.8</v>
      </c>
    </row>
    <row r="11" spans="1:10" ht="15">
      <c r="A11" s="4" t="s">
        <v>6</v>
      </c>
      <c r="B11" s="5">
        <v>141529.45000000001</v>
      </c>
      <c r="C11" s="5"/>
      <c r="D11" s="5">
        <v>83687.64</v>
      </c>
      <c r="E11" s="5">
        <v>28464.720000000001</v>
      </c>
      <c r="F11" s="5">
        <f>518.02+13589.44</f>
        <v>14107.460000000001</v>
      </c>
      <c r="G11" s="5">
        <v>36994.25</v>
      </c>
      <c r="H11" s="5">
        <f>22064.6+26373.49</f>
        <v>48438.09</v>
      </c>
      <c r="I11" s="5">
        <v>31942.17</v>
      </c>
      <c r="J11" s="5"/>
    </row>
    <row r="12" spans="1:10" ht="15">
      <c r="A12" s="4" t="s">
        <v>7</v>
      </c>
      <c r="B12" s="5">
        <v>72319.3</v>
      </c>
      <c r="C12" s="5">
        <v>33977.61</v>
      </c>
      <c r="D12" s="5"/>
      <c r="E12" s="5">
        <f>8505+42626.25</f>
        <v>51131.25</v>
      </c>
      <c r="F12" s="5">
        <v>11898.91</v>
      </c>
      <c r="G12" s="5">
        <v>41337</v>
      </c>
      <c r="H12" s="5">
        <f>36198.13+12940.27+12972.03</f>
        <v>62110.429999999993</v>
      </c>
      <c r="I12" s="5">
        <v>17020.5</v>
      </c>
      <c r="J12" s="5"/>
    </row>
    <row r="13" spans="1:10" ht="15">
      <c r="A13" s="7" t="s">
        <v>8</v>
      </c>
      <c r="B13" s="8">
        <f>SUM(B7:B12)</f>
        <v>283822.8</v>
      </c>
      <c r="C13" s="8">
        <f>SUM(C7:C12)</f>
        <v>256837.06</v>
      </c>
      <c r="D13" s="8">
        <f>SUM(D7:D12)</f>
        <v>282308.44</v>
      </c>
      <c r="E13" s="8">
        <f>SUM(E7:E12)</f>
        <v>1185796.6300000001</v>
      </c>
      <c r="F13" s="8">
        <f>SUM(F7:F12)</f>
        <v>1135268.8999999999</v>
      </c>
      <c r="G13" s="8">
        <f>SUM(G7:G12)</f>
        <v>1049710.33</v>
      </c>
      <c r="H13" s="8">
        <f>SUM(H7:H12)</f>
        <v>1642665.3699999999</v>
      </c>
      <c r="I13" s="8">
        <f>SUM(I7:I12)</f>
        <v>1176721.4099999999</v>
      </c>
      <c r="J13" s="8">
        <f>SUM(J7:J12)</f>
        <v>1281749.32</v>
      </c>
    </row>
    <row r="14" spans="1:10" ht="15">
      <c r="A14" s="7"/>
      <c r="B14" s="8"/>
      <c r="C14" s="8"/>
      <c r="D14" s="8"/>
      <c r="E14" s="8"/>
      <c r="F14" s="8"/>
      <c r="G14" s="8"/>
      <c r="H14" s="8"/>
      <c r="I14" s="8"/>
      <c r="J14" s="8"/>
    </row>
    <row r="15" spans="1:10" ht="15">
      <c r="A15" s="4" t="s">
        <v>9</v>
      </c>
      <c r="B15" s="5">
        <v>124.64</v>
      </c>
      <c r="C15" s="5">
        <v>419.86</v>
      </c>
      <c r="D15" s="5">
        <v>41.22</v>
      </c>
      <c r="E15" s="5">
        <v>72439.850000000006</v>
      </c>
      <c r="F15" s="5">
        <f>61994.12-4478.97-4927.14</f>
        <v>52588.01</v>
      </c>
      <c r="G15" s="5">
        <v>53795.46</v>
      </c>
      <c r="H15" s="5">
        <v>35147.050000000003</v>
      </c>
      <c r="I15" s="5">
        <v>61169.59</v>
      </c>
      <c r="J15" s="5">
        <v>86518.37</v>
      </c>
    </row>
    <row r="16" spans="1:10" ht="15">
      <c r="A16" s="4" t="s">
        <v>10</v>
      </c>
      <c r="B16" s="5"/>
      <c r="C16" s="5">
        <v>302.31</v>
      </c>
      <c r="D16" s="5">
        <v>79.44</v>
      </c>
      <c r="E16" s="5">
        <f>20204.17</f>
        <v>20204.169999999998</v>
      </c>
      <c r="F16" s="5">
        <f>18990.21+2083.25</f>
        <v>21073.46</v>
      </c>
      <c r="G16" s="5">
        <f>18267.32+1071.88</f>
        <v>19339.2</v>
      </c>
      <c r="H16" s="5">
        <f>26453.42</f>
        <v>26453.42</v>
      </c>
      <c r="I16" s="5">
        <f>22721.86+475.28</f>
        <v>23197.14</v>
      </c>
      <c r="J16" s="5">
        <f>23696.62+852.61</f>
        <v>24549.23</v>
      </c>
    </row>
    <row r="17" spans="1:10" ht="15">
      <c r="A17" s="4" t="s">
        <v>11</v>
      </c>
      <c r="B17" s="5"/>
      <c r="C17" s="5">
        <v>1779.78</v>
      </c>
      <c r="D17" s="5"/>
      <c r="E17" s="5">
        <v>509.42</v>
      </c>
      <c r="F17" s="5">
        <v>1190.8499999999999</v>
      </c>
      <c r="G17" s="5">
        <f>1844.1+109.44</f>
        <v>1953.54</v>
      </c>
      <c r="H17" s="5">
        <v>2134.14</v>
      </c>
      <c r="I17" s="5">
        <v>2700.15</v>
      </c>
      <c r="J17" s="5">
        <v>1126.1400000000001</v>
      </c>
    </row>
    <row r="18" spans="1:10" ht="15">
      <c r="A18" s="4" t="s">
        <v>12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ht="15">
      <c r="A19" s="4" t="s">
        <v>13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5">
      <c r="A20" s="4" t="s">
        <v>14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5">
      <c r="A21" s="4" t="s">
        <v>15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ht="15">
      <c r="A22" s="7" t="s">
        <v>16</v>
      </c>
      <c r="B22" s="8">
        <f>SUM(B15:B21)</f>
        <v>124.64</v>
      </c>
      <c r="C22" s="8">
        <f>SUM(C15:C21)</f>
        <v>2501.9499999999998</v>
      </c>
      <c r="D22" s="8">
        <f>SUM(D15:D21)</f>
        <v>120.66</v>
      </c>
      <c r="E22" s="8">
        <f>SUM(E15:E21)</f>
        <v>93153.44</v>
      </c>
      <c r="F22" s="8">
        <f>SUM(F15:F21)</f>
        <v>74852.320000000007</v>
      </c>
      <c r="G22" s="8">
        <f>SUM(G15:G21)</f>
        <v>75088.2</v>
      </c>
      <c r="H22" s="8">
        <f>SUM(H15:H21)</f>
        <v>63734.61</v>
      </c>
      <c r="I22" s="8">
        <f>SUM(I15:I21)</f>
        <v>87066.87999999999</v>
      </c>
      <c r="J22" s="8">
        <f>SUM(J15:J21)</f>
        <v>112193.73999999999</v>
      </c>
    </row>
    <row r="23" spans="1:10" ht="15">
      <c r="A23" s="7"/>
      <c r="B23" s="8"/>
      <c r="C23" s="8"/>
      <c r="D23" s="8"/>
      <c r="E23" s="8"/>
      <c r="F23" s="8"/>
      <c r="G23" s="8"/>
      <c r="H23" s="8"/>
      <c r="I23" s="8"/>
      <c r="J23" s="8"/>
    </row>
    <row r="24" spans="1:10" ht="15">
      <c r="A24" s="7" t="s">
        <v>17</v>
      </c>
      <c r="B24" s="8">
        <f>SUM(B22,B13)</f>
        <v>283947.44</v>
      </c>
      <c r="C24" s="8">
        <f>SUM(C22,C13)</f>
        <v>259339.01</v>
      </c>
      <c r="D24" s="8">
        <f>SUM(D22,D13)</f>
        <v>282429.09999999998</v>
      </c>
      <c r="E24" s="8">
        <f>SUM(E22,E13)</f>
        <v>1278950.07</v>
      </c>
      <c r="F24" s="8">
        <f>SUM(F22,F13)</f>
        <v>1210121.22</v>
      </c>
      <c r="G24" s="8">
        <f>SUM(G22,G13)</f>
        <v>1124798.53</v>
      </c>
      <c r="H24" s="8">
        <f>SUM(H22,H13)</f>
        <v>1706399.98</v>
      </c>
      <c r="I24" s="8">
        <f>SUM(I22,I13)</f>
        <v>1263788.2899999998</v>
      </c>
      <c r="J24" s="8">
        <f>SUM(J22,J13)</f>
        <v>1393943.06</v>
      </c>
    </row>
    <row r="25" spans="1:10" ht="15">
      <c r="A25" s="9"/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>
      <c r="A26" s="2" t="s">
        <v>0</v>
      </c>
      <c r="B26" s="3" t="s">
        <v>1</v>
      </c>
      <c r="C26" s="3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1</v>
      </c>
    </row>
    <row r="27" spans="1:10" ht="15">
      <c r="A27" s="4" t="s">
        <v>18</v>
      </c>
      <c r="B27" s="5">
        <v>18395.89</v>
      </c>
      <c r="C27" s="5">
        <f>30462.84</f>
        <v>30462.84</v>
      </c>
      <c r="D27" s="5">
        <v>11657.37</v>
      </c>
      <c r="E27" s="5">
        <f>61526.39+64947.13+16289.2+1728</f>
        <v>144490.72</v>
      </c>
      <c r="F27" s="5">
        <f>75716.26+4847.04+103730.31+1794</f>
        <v>186087.61</v>
      </c>
      <c r="G27" s="5">
        <f>104304.31+71977.23</f>
        <v>176281.53999999998</v>
      </c>
      <c r="H27" s="5">
        <f>91209.52+7776+130211.38+796.67</f>
        <v>229993.57000000004</v>
      </c>
      <c r="I27" s="5">
        <f>120597.51+61366.34+8422.4+11987.32+1668</f>
        <v>204041.56999999998</v>
      </c>
      <c r="J27" s="5">
        <f>43489.76+14540+75585.19+8257.54+1023.62+1050</f>
        <v>143946.11000000002</v>
      </c>
    </row>
    <row r="28" spans="1:10" ht="15">
      <c r="A28" s="4" t="s">
        <v>19</v>
      </c>
      <c r="B28" s="5"/>
      <c r="C28" s="5">
        <v>1540.72</v>
      </c>
      <c r="D28" s="5">
        <v>2480.5700000000002</v>
      </c>
      <c r="E28" s="5">
        <f>38830.04+33105.63</f>
        <v>71935.67</v>
      </c>
      <c r="F28" s="5">
        <v>65063.3</v>
      </c>
      <c r="G28" s="5">
        <f>31448+14542.51</f>
        <v>45990.51</v>
      </c>
      <c r="H28" s="5">
        <f>26952.77+41918.85</f>
        <v>68871.62</v>
      </c>
      <c r="I28" s="5">
        <f>18911.13+22125.11</f>
        <v>41036.240000000005</v>
      </c>
      <c r="J28" s="5">
        <v>34483.379999999997</v>
      </c>
    </row>
    <row r="29" spans="1:10" ht="15">
      <c r="A29" s="4" t="s">
        <v>20</v>
      </c>
      <c r="B29" s="5">
        <f>9291.23+1096.9</f>
        <v>10388.129999999999</v>
      </c>
      <c r="C29" s="5">
        <v>2260</v>
      </c>
      <c r="D29" s="5">
        <f>24051.11+734.57+812.38</f>
        <v>25598.06</v>
      </c>
      <c r="E29" s="5">
        <f>134259.95+6451.54+8280.66</f>
        <v>148992.15000000002</v>
      </c>
      <c r="F29" s="5">
        <f>9061.51+7918.91+76986.66</f>
        <v>93967.08</v>
      </c>
      <c r="G29" s="5">
        <f>99284.96+7342.57+6175.32</f>
        <v>112802.85</v>
      </c>
      <c r="H29" s="5">
        <f>153966.12+8955.71+13402.09</f>
        <v>176323.91999999998</v>
      </c>
      <c r="I29" s="5">
        <f>124584.9+6978.14+10085.01</f>
        <v>141648.05000000002</v>
      </c>
      <c r="J29" s="5">
        <f>237349.9+7294.69+5249.39</f>
        <v>249893.98</v>
      </c>
    </row>
    <row r="30" spans="1:10" ht="15">
      <c r="A30" s="4" t="s">
        <v>21</v>
      </c>
      <c r="B30" s="5"/>
      <c r="C30" s="5">
        <v>6401.83</v>
      </c>
      <c r="D30" s="5"/>
      <c r="E30" s="5">
        <v>60</v>
      </c>
      <c r="F30" s="5">
        <v>435</v>
      </c>
      <c r="G30" s="5"/>
      <c r="H30" s="5"/>
      <c r="I30" s="5"/>
      <c r="J30" s="5">
        <v>830</v>
      </c>
    </row>
    <row r="31" spans="1:10" ht="15">
      <c r="A31" s="4" t="s">
        <v>22</v>
      </c>
      <c r="B31" s="5"/>
      <c r="C31" s="5">
        <v>1720.05</v>
      </c>
      <c r="D31" s="5"/>
      <c r="E31" s="5"/>
      <c r="F31" s="5"/>
      <c r="G31" s="5"/>
      <c r="H31" s="5">
        <v>1506</v>
      </c>
      <c r="I31" s="5"/>
      <c r="J31" s="5">
        <v>7618.18</v>
      </c>
    </row>
    <row r="32" spans="1:10" ht="15">
      <c r="A32" s="7" t="s">
        <v>23</v>
      </c>
      <c r="B32" s="8">
        <f>SUM(B27+B28+B29+B30+B31)</f>
        <v>28784.019999999997</v>
      </c>
      <c r="C32" s="8">
        <f>SUM(C27+C28+C29+C30+C31)</f>
        <v>42385.440000000002</v>
      </c>
      <c r="D32" s="8">
        <f>SUM(D27+D28+D29+D30+D31)</f>
        <v>39736</v>
      </c>
      <c r="E32" s="8">
        <f>SUM(E27+E28+E29+E30+E31)</f>
        <v>365478.54000000004</v>
      </c>
      <c r="F32" s="8">
        <f>SUM(F27+F28+F29+F30+F31)</f>
        <v>345552.99</v>
      </c>
      <c r="G32" s="8">
        <f>SUM(G27+G28+G29+G30+G31)</f>
        <v>335074.90000000002</v>
      </c>
      <c r="H32" s="8">
        <f>SUM(H27+H28+H29+H30+H31)</f>
        <v>476695.11000000004</v>
      </c>
      <c r="I32" s="8">
        <f>SUM(I27+I28+I29+I30+I31)</f>
        <v>386725.86</v>
      </c>
      <c r="J32" s="8">
        <f>SUM(J27+J28+J29+J30+J31)</f>
        <v>436771.65</v>
      </c>
    </row>
    <row r="33" spans="1:10" ht="15">
      <c r="A33" s="9"/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5">
      <c r="A34" s="4" t="s">
        <v>24</v>
      </c>
      <c r="B34" s="5">
        <v>39256.230000000003</v>
      </c>
      <c r="C34" s="12">
        <v>73425.33</v>
      </c>
      <c r="D34" s="5"/>
      <c r="E34" s="5">
        <f>794.66+10293.92+33498.44+12401.91</f>
        <v>56988.930000000008</v>
      </c>
      <c r="F34" s="5">
        <f>28696.79+8823.36+19139.9+6450+4067.85</f>
        <v>67177.900000000009</v>
      </c>
      <c r="G34" s="5">
        <v>44873.26</v>
      </c>
      <c r="H34" s="5">
        <v>78709.820000000007</v>
      </c>
      <c r="I34" s="5">
        <f>44420.06+2890.76</f>
        <v>47310.82</v>
      </c>
      <c r="J34" s="5">
        <v>76631.47</v>
      </c>
    </row>
    <row r="35" spans="1:10" ht="15">
      <c r="A35" s="11" t="s">
        <v>25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5">
      <c r="A36" s="11" t="s">
        <v>26</v>
      </c>
      <c r="B36" s="12">
        <v>8507.7000000000007</v>
      </c>
      <c r="C36" s="12">
        <f>7863.03+150</f>
        <v>8013.03</v>
      </c>
      <c r="D36" s="12">
        <f>8358.84+1920</f>
        <v>10278.84</v>
      </c>
      <c r="E36" s="12">
        <f>28595.37+1920</f>
        <v>30515.37</v>
      </c>
      <c r="F36" s="12">
        <f>33419.36+6420</f>
        <v>39839.360000000001</v>
      </c>
      <c r="G36" s="12">
        <f>33810.46+2081.66</f>
        <v>35892.119999999995</v>
      </c>
      <c r="H36" s="12">
        <f>44320.34+2521.66</f>
        <v>46842</v>
      </c>
      <c r="I36" s="12">
        <f>25921.65+2180</f>
        <v>28101.65</v>
      </c>
      <c r="J36" s="12">
        <f>73548.39+1920+156+2310+990</f>
        <v>78924.39</v>
      </c>
    </row>
    <row r="37" spans="1:10" ht="15">
      <c r="A37" s="11" t="s">
        <v>27</v>
      </c>
      <c r="B37" s="12">
        <v>13739.56</v>
      </c>
      <c r="C37" s="12">
        <f>985.54+23533.2</f>
        <v>24518.74</v>
      </c>
      <c r="D37" s="12">
        <v>23461.61</v>
      </c>
      <c r="E37" s="12">
        <v>69733.78</v>
      </c>
      <c r="F37" s="12">
        <v>67907.490000000005</v>
      </c>
      <c r="G37" s="12">
        <v>64179.37</v>
      </c>
      <c r="H37" s="12">
        <v>164633.92000000001</v>
      </c>
      <c r="I37" s="12">
        <v>63257.62</v>
      </c>
      <c r="J37" s="12">
        <v>217857.48</v>
      </c>
    </row>
    <row r="38" spans="1:10" ht="15">
      <c r="A38" s="11" t="s">
        <v>28</v>
      </c>
      <c r="B38" s="12"/>
      <c r="C38" s="12"/>
      <c r="D38" s="12">
        <v>19696.93</v>
      </c>
      <c r="E38" s="12">
        <v>254614.14</v>
      </c>
      <c r="F38" s="12">
        <v>283391.52</v>
      </c>
      <c r="G38" s="12">
        <v>231718.59</v>
      </c>
      <c r="H38" s="12">
        <v>369999.96</v>
      </c>
      <c r="I38" s="12">
        <v>283299.84000000003</v>
      </c>
      <c r="J38" s="12">
        <v>687698.17</v>
      </c>
    </row>
    <row r="39" spans="1:10" ht="15">
      <c r="A39" s="11" t="s">
        <v>29</v>
      </c>
      <c r="B39" s="12"/>
      <c r="C39" s="12"/>
      <c r="D39" s="12"/>
      <c r="E39" s="12">
        <v>244598.5</v>
      </c>
      <c r="F39" s="12">
        <v>244598.5</v>
      </c>
      <c r="G39" s="12">
        <v>256000</v>
      </c>
      <c r="H39" s="12">
        <v>194435.16</v>
      </c>
      <c r="I39" s="12">
        <v>244024.5</v>
      </c>
      <c r="J39" s="12"/>
    </row>
    <row r="40" spans="1:10" ht="15">
      <c r="A40" s="13" t="s">
        <v>30</v>
      </c>
      <c r="B40" s="12"/>
      <c r="C40" s="12">
        <v>431.18</v>
      </c>
      <c r="D40" s="12"/>
      <c r="E40" s="12"/>
      <c r="F40" s="12"/>
      <c r="G40" s="12"/>
      <c r="H40" s="12"/>
      <c r="I40" s="12"/>
      <c r="J40" s="12"/>
    </row>
    <row r="41" spans="1:10" ht="15">
      <c r="A41" s="13" t="s">
        <v>31</v>
      </c>
      <c r="B41" s="12"/>
      <c r="C41" s="12">
        <v>683.45</v>
      </c>
      <c r="D41" s="12"/>
      <c r="E41" s="12"/>
      <c r="F41" s="12"/>
      <c r="G41" s="12"/>
      <c r="H41" s="12"/>
      <c r="I41" s="12"/>
      <c r="J41" s="12"/>
    </row>
    <row r="42" spans="1:10" ht="15">
      <c r="A42" s="11" t="s">
        <v>32</v>
      </c>
      <c r="B42" s="12">
        <v>5589.83</v>
      </c>
      <c r="C42" s="12">
        <v>6951.63</v>
      </c>
      <c r="D42" s="12">
        <v>11777.6</v>
      </c>
      <c r="E42" s="12">
        <v>44664.07</v>
      </c>
      <c r="F42" s="12">
        <v>44904.2</v>
      </c>
      <c r="G42" s="12">
        <v>44614.04</v>
      </c>
      <c r="H42" s="12">
        <v>49714.77</v>
      </c>
      <c r="I42" s="12">
        <v>45674.35</v>
      </c>
      <c r="J42" s="12">
        <v>54617.67</v>
      </c>
    </row>
    <row r="43" spans="1:10" ht="15">
      <c r="A43" s="11" t="s">
        <v>33</v>
      </c>
      <c r="B43" s="12">
        <v>120.69</v>
      </c>
      <c r="C43" s="12">
        <v>1623.46</v>
      </c>
      <c r="D43" s="12"/>
      <c r="E43" s="12">
        <v>3400.75</v>
      </c>
      <c r="F43" s="12">
        <v>3150.75</v>
      </c>
      <c r="G43" s="12">
        <v>3300.75</v>
      </c>
      <c r="H43" s="12">
        <v>5563.03</v>
      </c>
      <c r="I43" s="12">
        <v>3300.75</v>
      </c>
      <c r="J43" s="12">
        <v>6793.43</v>
      </c>
    </row>
    <row r="44" spans="1:10" ht="15">
      <c r="A44" s="11" t="s">
        <v>34</v>
      </c>
      <c r="B44" s="12"/>
      <c r="C44" s="12">
        <v>324.02999999999997</v>
      </c>
      <c r="D44" s="12"/>
      <c r="E44" s="12"/>
      <c r="F44" s="12"/>
      <c r="G44" s="12"/>
      <c r="H44" s="12"/>
      <c r="I44" s="12"/>
      <c r="J44" s="12"/>
    </row>
    <row r="45" spans="1:10" ht="15">
      <c r="A45" s="11" t="s">
        <v>35</v>
      </c>
      <c r="B45" s="12">
        <v>4933.6899999999996</v>
      </c>
      <c r="C45" s="12">
        <f>9338.36+173.76+16.39</f>
        <v>9528.51</v>
      </c>
      <c r="D45" s="12">
        <f>5261.38+440+1904.76+120.91</f>
        <v>7727.05</v>
      </c>
      <c r="E45" s="12">
        <f>8032.74+5571.89+425.65+68.23+563.77+55.33+368.89+1670.05+538</f>
        <v>17294.55</v>
      </c>
      <c r="F45" s="12">
        <f>6013.17+9314.28+787.47+72.29+924.57+3768.49+1089.37+944.01-117.93</f>
        <v>22795.72</v>
      </c>
      <c r="G45" s="12">
        <f>3361+4227.2+293.62+5666.77+597.81+399.55+1699.28+1143.05+1097.86+440</f>
        <v>18926.14</v>
      </c>
      <c r="H45" s="12">
        <f>6624.01+13444.59+1430.38+2.87+12.3+1324.81+3537.78+1221.23</f>
        <v>27597.969999999998</v>
      </c>
      <c r="I45" s="12">
        <f>6410.3+5485.79+425.14+351.46+628.05+533.63+472.57+522</f>
        <v>14828.939999999997</v>
      </c>
      <c r="J45" s="12">
        <f>4139.06+140+9406.15+194.64+1112.85+1411.83+2736.83+796.37+1406.8</f>
        <v>21344.53</v>
      </c>
    </row>
    <row r="46" spans="1:10" ht="15">
      <c r="A46" s="11" t="s">
        <v>36</v>
      </c>
      <c r="B46" s="12">
        <f>1719.12+4145.43+7814.58</f>
        <v>13679.130000000001</v>
      </c>
      <c r="C46" s="12">
        <f>5025.43+525+9718.38</f>
        <v>15268.81</v>
      </c>
      <c r="D46" s="12">
        <f>482.16+723+407.35+4314.42+300+1203.1+605+17771.09</f>
        <v>25806.120000000003</v>
      </c>
      <c r="E46" s="12">
        <f>180+544+2999.27+1478+88673.24+1634+733.81+4345.57+62440.36</f>
        <v>163028.25</v>
      </c>
      <c r="F46" s="12">
        <f>3092.42+2011.25+394+302+1529.78+3005.51+62776.07</f>
        <v>73111.03</v>
      </c>
      <c r="G46" s="12">
        <f>10779.52+1130.43+1569.3+1537.68+822.25+1681.08+185370.45</f>
        <v>202890.71000000002</v>
      </c>
      <c r="H46" s="12">
        <f>3516.33+1404.12+2283+2601+1366.08+460+69501.25</f>
        <v>81131.78</v>
      </c>
      <c r="I46" s="12">
        <f>242+2123.4+905+362+2379.19+1713.99+534+3884.82+2060.83+63852.75</f>
        <v>78057.98</v>
      </c>
      <c r="J46" s="12">
        <f>2404.13+2372+407.35+433.45+385.37+356+9410+360+360+1366.07+1752+3193.19+76355.51</f>
        <v>99155.069999999992</v>
      </c>
    </row>
    <row r="47" spans="1:10" ht="15">
      <c r="A47" s="11" t="s">
        <v>37</v>
      </c>
      <c r="B47" s="12"/>
      <c r="C47" s="12">
        <v>3072.3</v>
      </c>
      <c r="D47" s="12"/>
      <c r="E47" s="12"/>
      <c r="F47" s="12"/>
      <c r="G47" s="12"/>
      <c r="H47" s="12"/>
      <c r="I47" s="12"/>
      <c r="J47" s="12"/>
    </row>
    <row r="48" spans="1:10" ht="15">
      <c r="A48" s="11" t="s">
        <v>38</v>
      </c>
      <c r="B48" s="5"/>
      <c r="C48" s="12"/>
      <c r="D48" s="5"/>
      <c r="E48" s="5"/>
      <c r="F48" s="5"/>
      <c r="G48" s="5"/>
      <c r="H48" s="5"/>
      <c r="I48" s="5"/>
      <c r="J48" s="5"/>
    </row>
    <row r="49" spans="1:10" ht="15">
      <c r="A49" s="11" t="s">
        <v>39</v>
      </c>
      <c r="B49" s="5"/>
      <c r="C49" s="12"/>
      <c r="D49" s="5"/>
      <c r="E49" s="5"/>
      <c r="F49" s="5"/>
      <c r="G49" s="5"/>
      <c r="H49" s="5"/>
      <c r="I49" s="5"/>
      <c r="J49" s="5"/>
    </row>
    <row r="50" spans="1:10" ht="15">
      <c r="A50" s="11" t="s">
        <v>40</v>
      </c>
      <c r="B50" s="5">
        <v>600</v>
      </c>
      <c r="C50" s="12">
        <v>26544.31</v>
      </c>
      <c r="D50" s="5">
        <v>171.73</v>
      </c>
      <c r="E50" s="5">
        <v>1203.73</v>
      </c>
      <c r="F50" s="5">
        <v>151.91999999999999</v>
      </c>
      <c r="G50" s="5">
        <v>647.72</v>
      </c>
      <c r="H50" s="5">
        <v>7989.75</v>
      </c>
      <c r="I50" s="5">
        <v>518.99</v>
      </c>
      <c r="J50" s="5">
        <v>2218.37</v>
      </c>
    </row>
    <row r="51" spans="1:10" ht="15">
      <c r="A51" s="11" t="s">
        <v>41</v>
      </c>
      <c r="B51" s="5">
        <f>17112.71+38.19</f>
        <v>17150.899999999998</v>
      </c>
      <c r="C51" s="12">
        <f>1810.93+2274.68</f>
        <v>4085.6099999999997</v>
      </c>
      <c r="D51" s="5">
        <f>447.7+120.31+20+34008.47</f>
        <v>34596.480000000003</v>
      </c>
      <c r="E51" s="5">
        <f>4048+8647+42.2+2918.24+1350+267.59+67.45</f>
        <v>17340.480000000003</v>
      </c>
      <c r="F51" s="5">
        <f>3312.75+78.2+13.81+1330.42+2292.81+7284.5+751.35+133830.41</f>
        <v>148894.25</v>
      </c>
      <c r="G51" s="5">
        <f>18+9155+138.66+14832.56+12+2292.81+132965.65</f>
        <v>159414.68</v>
      </c>
      <c r="H51" s="5">
        <f>5115+22767.42+636.92+407.35</f>
        <v>28926.689999999995</v>
      </c>
      <c r="I51" s="5">
        <f>297.45+152.07+108.3+2292.81+9351.5+304.7+407.35+136125.75</f>
        <v>149039.93</v>
      </c>
      <c r="J51" s="5">
        <f>531.55+38+166.42+2757.47+15.85+2480.87+329.38+4939.92+162780</f>
        <v>174039.46</v>
      </c>
    </row>
    <row r="52" spans="1:10" ht="15">
      <c r="A52" s="11" t="s">
        <v>42</v>
      </c>
      <c r="B52" s="5"/>
      <c r="C52" s="12"/>
      <c r="D52" s="5"/>
      <c r="E52" s="5"/>
      <c r="F52" s="5"/>
      <c r="G52" s="5"/>
      <c r="H52" s="5"/>
      <c r="I52" s="5"/>
      <c r="J52" s="5"/>
    </row>
    <row r="53" spans="1:10" ht="15">
      <c r="A53" s="11" t="s">
        <v>43</v>
      </c>
      <c r="B53" s="5"/>
      <c r="C53" s="12">
        <v>1557.5</v>
      </c>
      <c r="D53" s="5"/>
      <c r="E53" s="5">
        <v>319</v>
      </c>
      <c r="F53" s="5"/>
      <c r="G53" s="5">
        <v>319</v>
      </c>
      <c r="H53" s="5"/>
      <c r="I53" s="5"/>
      <c r="J53" s="5">
        <v>1160</v>
      </c>
    </row>
    <row r="54" spans="1:10" ht="15">
      <c r="A54" s="11" t="s">
        <v>44</v>
      </c>
      <c r="B54" s="5"/>
      <c r="C54" s="12">
        <v>27.84</v>
      </c>
      <c r="D54" s="5"/>
      <c r="E54" s="5"/>
      <c r="F54" s="5"/>
      <c r="G54" s="5">
        <v>18350</v>
      </c>
      <c r="H54" s="5"/>
      <c r="I54" s="5"/>
      <c r="J54" s="5"/>
    </row>
    <row r="55" spans="1:10" ht="15">
      <c r="A55" s="14" t="s">
        <v>45</v>
      </c>
      <c r="B55" s="8">
        <f>SUM(B34:B54)</f>
        <v>103577.73000000001</v>
      </c>
      <c r="C55" s="8">
        <f>SUM(C34:C54)</f>
        <v>176055.72999999998</v>
      </c>
      <c r="D55" s="8">
        <f>SUM(D34:D54)</f>
        <v>133516.35999999999</v>
      </c>
      <c r="E55" s="8">
        <f>SUM(E34:E54)</f>
        <v>903701.54999999993</v>
      </c>
      <c r="F55" s="8">
        <f>SUM(F34:F54)</f>
        <v>995922.64</v>
      </c>
      <c r="G55" s="8">
        <f>SUM(G34:G54)</f>
        <v>1081126.3799999999</v>
      </c>
      <c r="H55" s="8">
        <f>SUM(H34:H54)</f>
        <v>1055544.8500000001</v>
      </c>
      <c r="I55" s="8">
        <f>SUM(I34:I54)</f>
        <v>957415.36999999988</v>
      </c>
      <c r="J55" s="8">
        <f>SUM(J34:J54)</f>
        <v>1420440.04</v>
      </c>
    </row>
    <row r="56" spans="1:10" ht="15">
      <c r="A56" s="15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5">
      <c r="A57" s="17" t="s">
        <v>46</v>
      </c>
      <c r="B57" s="18">
        <f>SUM(B24+B32+B55)</f>
        <v>416309.19000000006</v>
      </c>
      <c r="C57" s="18">
        <f>SUM(C24+C32+C55)</f>
        <v>477780.18</v>
      </c>
      <c r="D57" s="18">
        <f>SUM(D24+D32+D55)</f>
        <v>455681.45999999996</v>
      </c>
      <c r="E57" s="18">
        <f>SUM(E24+E32+E55)</f>
        <v>2548130.16</v>
      </c>
      <c r="F57" s="18">
        <f>SUM(F24+F32+F55)</f>
        <v>2551596.85</v>
      </c>
      <c r="G57" s="18">
        <f>SUM(G24+G32+G55)</f>
        <v>2540999.81</v>
      </c>
      <c r="H57" s="18">
        <f>SUM(H24+H32+H55)</f>
        <v>3238639.94</v>
      </c>
      <c r="I57" s="18">
        <f>SUM(I24+I32+I55)</f>
        <v>2607929.5199999996</v>
      </c>
      <c r="J57" s="18">
        <f>SUM(J24+J32+J55)</f>
        <v>3251154.75</v>
      </c>
    </row>
  </sheetData>
  <mergeCells count="1">
    <mergeCell ref="A3:J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4" fitToHeight="0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2026-07-28T15:53:55Z</cp:lastPrinted>
  <dcterms:created xsi:type="dcterms:W3CDTF">2016-10-18T13:26:15Z</dcterms:created>
  <dcterms:modified xsi:type="dcterms:W3CDTF">2026-07-28T15:54:07Z</dcterms:modified>
</cp:coreProperties>
</file>